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20" yWindow="-120" windowWidth="23256" windowHeight="13140" activeTab="1"/>
  </bookViews>
  <sheets>
    <sheet name="Расчет ФОТ" sheetId="1" r:id="rId1"/>
    <sheet name="Лист2" sheetId="2" r:id="rId2"/>
    <sheet name="Ком.услуги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2" l="1"/>
  <c r="AB5" i="2" l="1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D28" i="2" l="1"/>
  <c r="U28" i="2" l="1"/>
  <c r="O7" i="3" l="1"/>
  <c r="O9" i="3"/>
  <c r="O10" i="3"/>
  <c r="O11" i="3"/>
  <c r="N4" i="3"/>
  <c r="N5" i="3"/>
  <c r="N6" i="3"/>
  <c r="N7" i="3"/>
  <c r="N8" i="3"/>
  <c r="N9" i="3"/>
  <c r="N10" i="3"/>
  <c r="N11" i="3"/>
  <c r="N12" i="3"/>
  <c r="K4" i="3"/>
  <c r="K5" i="3"/>
  <c r="K6" i="3"/>
  <c r="K7" i="3"/>
  <c r="K8" i="3"/>
  <c r="K9" i="3"/>
  <c r="K10" i="3"/>
  <c r="K11" i="3"/>
  <c r="K12" i="3"/>
  <c r="J8" i="3"/>
  <c r="H4" i="3"/>
  <c r="H5" i="3"/>
  <c r="H6" i="3"/>
  <c r="H7" i="3"/>
  <c r="H9" i="3"/>
  <c r="H10" i="3"/>
  <c r="H11" i="3"/>
  <c r="H8" i="3" l="1"/>
  <c r="H12" i="3" s="1"/>
  <c r="E4" i="3"/>
  <c r="O4" i="3" s="1"/>
  <c r="E5" i="3"/>
  <c r="O5" i="3" s="1"/>
  <c r="E6" i="3"/>
  <c r="O6" i="3" s="1"/>
  <c r="E7" i="3"/>
  <c r="E9" i="3"/>
  <c r="E10" i="3"/>
  <c r="E11" i="3"/>
  <c r="L12" i="3" l="1"/>
  <c r="L8" i="3"/>
  <c r="I12" i="3"/>
  <c r="I8" i="3"/>
  <c r="F8" i="3"/>
  <c r="C8" i="3"/>
  <c r="E8" i="3" s="1"/>
  <c r="D17" i="1"/>
  <c r="F17" i="1" s="1"/>
  <c r="H17" i="1" s="1"/>
  <c r="D16" i="1"/>
  <c r="F16" i="1" s="1"/>
  <c r="H16" i="1" s="1"/>
  <c r="D14" i="1"/>
  <c r="F14" i="1" s="1"/>
  <c r="H14" i="1" s="1"/>
  <c r="D13" i="1"/>
  <c r="F13" i="1" s="1"/>
  <c r="O8" i="3" l="1"/>
  <c r="C12" i="3"/>
  <c r="E12" i="3" s="1"/>
  <c r="F12" i="3"/>
  <c r="H13" i="1"/>
  <c r="H15" i="1" s="1"/>
  <c r="F15" i="1"/>
  <c r="D15" i="1"/>
  <c r="O12" i="3" l="1"/>
  <c r="AA28" i="2"/>
  <c r="X28" i="2"/>
  <c r="Q28" i="2"/>
  <c r="T28" i="2"/>
  <c r="C28" i="2"/>
  <c r="G28" i="2"/>
  <c r="Z28" i="2"/>
  <c r="Y28" i="2"/>
  <c r="W28" i="2"/>
  <c r="V28" i="2"/>
  <c r="S28" i="2"/>
  <c r="R28" i="2"/>
  <c r="P28" i="2"/>
  <c r="O28" i="2"/>
  <c r="N28" i="2"/>
  <c r="M28" i="2"/>
  <c r="L28" i="2"/>
  <c r="K28" i="2"/>
  <c r="J28" i="2"/>
  <c r="I28" i="2"/>
  <c r="H28" i="2"/>
  <c r="F28" i="2"/>
  <c r="E28" i="2"/>
  <c r="B28" i="2"/>
  <c r="AB28" i="2" l="1"/>
  <c r="AD50" i="2"/>
  <c r="G51" i="2"/>
  <c r="M51" i="2"/>
  <c r="I16" i="1"/>
  <c r="I15" i="1"/>
  <c r="I13" i="1"/>
  <c r="I14" i="1"/>
  <c r="I17" i="1"/>
  <c r="I18" i="1"/>
  <c r="D10" i="1"/>
  <c r="F10" i="1" s="1"/>
  <c r="D6" i="1"/>
  <c r="F6" i="1" s="1"/>
  <c r="H6" i="1" s="1"/>
  <c r="D7" i="1"/>
  <c r="F7" i="1" s="1"/>
  <c r="H7" i="1" s="1"/>
  <c r="I6" i="1" l="1"/>
  <c r="I7" i="1"/>
  <c r="D8" i="1"/>
  <c r="F8" i="1" s="1"/>
  <c r="H8" i="1" s="1"/>
  <c r="I8" i="1" s="1"/>
  <c r="H10" i="1"/>
  <c r="I10" i="1" s="1"/>
  <c r="D5" i="1"/>
  <c r="D9" i="1" l="1"/>
  <c r="F9" i="1" s="1"/>
  <c r="F5" i="1"/>
  <c r="F19" i="1" l="1"/>
  <c r="H19" i="1" s="1"/>
  <c r="H9" i="1"/>
  <c r="I9" i="1" s="1"/>
  <c r="H5" i="1"/>
  <c r="I5" i="1" s="1"/>
  <c r="I19" i="1" l="1"/>
</calcChain>
</file>

<file path=xl/sharedStrings.xml><?xml version="1.0" encoding="utf-8"?>
<sst xmlns="http://schemas.openxmlformats.org/spreadsheetml/2006/main" count="123" uniqueCount="106">
  <si>
    <t>Наименование</t>
  </si>
  <si>
    <t>Оклад</t>
  </si>
  <si>
    <t>Количество окладов</t>
  </si>
  <si>
    <t>Сумма</t>
  </si>
  <si>
    <t>РК</t>
  </si>
  <si>
    <t>Всего 211</t>
  </si>
  <si>
    <t>Налоги</t>
  </si>
  <si>
    <t>Всего 213</t>
  </si>
  <si>
    <t>0102</t>
  </si>
  <si>
    <t>0310</t>
  </si>
  <si>
    <t>0801</t>
  </si>
  <si>
    <t>ИТОГО</t>
  </si>
  <si>
    <t>0104(муниципальные)</t>
  </si>
  <si>
    <t>МРОТ</t>
  </si>
  <si>
    <t>ИТОГО по 0104</t>
  </si>
  <si>
    <t>211+213</t>
  </si>
  <si>
    <t>0203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</si>
  <si>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</si>
  <si>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</si>
  <si>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</si>
  <si>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</si>
  <si>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</si>
  <si>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</si>
  <si>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</si>
  <si>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</si>
  <si>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</si>
  <si>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Порказатели</t>
  </si>
  <si>
    <t>Ставок</t>
  </si>
  <si>
    <t>МРОТ с РК</t>
  </si>
  <si>
    <t>0113 (культура)</t>
  </si>
  <si>
    <t>ИТОГО 0113</t>
  </si>
  <si>
    <t xml:space="preserve">ИТОГО </t>
  </si>
  <si>
    <t>223.01</t>
  </si>
  <si>
    <t>223.03</t>
  </si>
  <si>
    <t>223.04</t>
  </si>
  <si>
    <t>223.05</t>
  </si>
  <si>
    <t>223.07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</si>
  <si>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</si>
  <si>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</si>
  <si>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</si>
  <si>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</si>
  <si>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</si>
  <si>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</si>
  <si>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</si>
  <si>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</si>
  <si>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</si>
  <si>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</si>
  <si>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</si>
  <si>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0104</t>
  </si>
  <si>
    <t>0113ХО</t>
  </si>
  <si>
    <t>0113 АС</t>
  </si>
  <si>
    <t>0113 Ком</t>
  </si>
  <si>
    <t>0113 ПУС</t>
  </si>
  <si>
    <t>0409</t>
  </si>
  <si>
    <t>0501</t>
  </si>
  <si>
    <t>0503 у</t>
  </si>
  <si>
    <t>0503 бл</t>
  </si>
  <si>
    <t>0503 к</t>
  </si>
  <si>
    <t>0801 вен</t>
  </si>
  <si>
    <t>0412</t>
  </si>
  <si>
    <t>Столбец152</t>
  </si>
  <si>
    <t>291 А</t>
  </si>
  <si>
    <t>Столбец22</t>
  </si>
  <si>
    <t>Столбец42</t>
  </si>
  <si>
    <t>211А</t>
  </si>
  <si>
    <t>213А</t>
  </si>
  <si>
    <t>1001</t>
  </si>
  <si>
    <t>Столбец192</t>
  </si>
  <si>
    <t>0111</t>
  </si>
  <si>
    <t>Столбец132</t>
  </si>
  <si>
    <t>Столбец172</t>
  </si>
  <si>
    <t>ГОД</t>
  </si>
  <si>
    <t>Расчет ФОТ на 2023</t>
  </si>
  <si>
    <t>0104 (инспектор)3439</t>
  </si>
  <si>
    <t>ИТОГО ПО управлению</t>
  </si>
  <si>
    <t>0113  (техслуж) 3994</t>
  </si>
  <si>
    <t>0.302</t>
  </si>
  <si>
    <t>без ВУС</t>
  </si>
  <si>
    <t>РЗ ПДР</t>
  </si>
  <si>
    <t>Отопление ГКАЛ</t>
  </si>
  <si>
    <t>Цена</t>
  </si>
  <si>
    <t>0113</t>
  </si>
  <si>
    <t>0503</t>
  </si>
  <si>
    <t>ИТОГО адми</t>
  </si>
  <si>
    <t>ВСЕГО</t>
  </si>
  <si>
    <t>Освещение кВтч</t>
  </si>
  <si>
    <t>цена2</t>
  </si>
  <si>
    <t>Сумма2</t>
  </si>
  <si>
    <t>Водоснабжение мЗ</t>
  </si>
  <si>
    <t>цена3</t>
  </si>
  <si>
    <t>Сумма3</t>
  </si>
  <si>
    <t>Водоотведение м3</t>
  </si>
  <si>
    <t>Цена4</t>
  </si>
  <si>
    <t>Сумма4</t>
  </si>
  <si>
    <t>ТКО</t>
  </si>
  <si>
    <t>Столбец153</t>
  </si>
  <si>
    <t>291Б</t>
  </si>
  <si>
    <t>0503 ТКО</t>
  </si>
  <si>
    <t>Столбец21</t>
  </si>
  <si>
    <t>Столбец23</t>
  </si>
  <si>
    <t>211 Б</t>
  </si>
  <si>
    <t>211-0</t>
  </si>
  <si>
    <t>0406</t>
  </si>
  <si>
    <t>0605</t>
  </si>
  <si>
    <t>Столбец212</t>
  </si>
  <si>
    <t>Расчет  к бюджету на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</si>
</sst>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wrapText="1"/>
    </xf>
    <xf numFmtId="0" fontId="2" fillId="0" borderId="3" xfId="0" applyFont="1" applyBorder="1"/>
    <xf numFmtId="0" fontId="2" fillId="0" borderId="3" xfId="0" applyFont="1" applyBorder="1" applyAlignment="1">
      <alignment wrapText="1"/>
    </xf>
    <xf numFmtId="0" fontId="2" fillId="0" borderId="4" xfId="0" applyFont="1" applyBorder="1"/>
    <xf numFmtId="0" fontId="3" fillId="0" borderId="0" xfId="0" applyFont="1"/>
    <xf numFmtId="49" fontId="2" fillId="0" borderId="5" xfId="0" applyNumberFormat="1" applyFont="1" applyBorder="1" applyAlignment="1">
      <alignment wrapText="1"/>
    </xf>
    <xf numFmtId="0" fontId="2" fillId="0" borderId="1" xfId="0" applyFont="1" applyBorder="1"/>
    <xf numFmtId="0" fontId="2" fillId="0" borderId="6" xfId="0" applyFont="1" applyBorder="1"/>
    <xf numFmtId="49" fontId="2" fillId="0" borderId="5" xfId="0" applyNumberFormat="1" applyFont="1" applyBorder="1"/>
    <xf numFmtId="2" fontId="2" fillId="0" borderId="6" xfId="0" applyNumberFormat="1" applyFont="1" applyBorder="1"/>
    <xf numFmtId="2" fontId="2" fillId="0" borderId="4" xfId="0" applyNumberFormat="1" applyFont="1" applyBorder="1"/>
    <xf numFmtId="0" fontId="0" fillId="0" borderId="1" xfId="0" applyBorder="1"/>
    <xf numFmtId="0" fontId="2" fillId="0" borderId="2" xfId="0" applyFont="1" applyBorder="1"/>
    <xf numFmtId="49" fontId="0" fillId="0" borderId="1" xfId="0" applyNumberFormat="1" applyBorder="1"/>
    <xf numFmtId="0" fontId="4" fillId="0" borderId="0" xfId="0" applyFont="1"/>
    <xf numFmtId="0" fontId="2" fillId="0" borderId="1" xfId="0" applyNumberFormat="1" applyFont="1" applyBorder="1"/>
    <xf numFmtId="0" fontId="2" fillId="0" borderId="6" xfId="0" applyNumberFormat="1" applyFont="1" applyBorder="1"/>
    <xf numFmtId="2" fontId="1" fillId="0" borderId="0" xfId="0" applyNumberFormat="1" applyFont="1"/>
    <xf numFmtId="2" fontId="2" fillId="0" borderId="4" xfId="0" applyNumberFormat="1" applyFont="1" applyBorder="1" applyAlignment="1">
      <alignment wrapText="1"/>
    </xf>
    <xf numFmtId="2" fontId="2" fillId="0" borderId="3" xfId="0" applyNumberFormat="1" applyFont="1" applyBorder="1"/>
    <xf numFmtId="2" fontId="2" fillId="0" borderId="1" xfId="0" applyNumberFormat="1" applyFont="1" applyBorder="1"/>
    <xf numFmtId="2" fontId="0" fillId="0" borderId="0" xfId="0" applyNumberForma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right"/>
    </xf>
    <xf numFmtId="49" fontId="0" fillId="0" borderId="0" xfId="0" applyNumberFormat="1"/>
    <xf numFmtId="49" fontId="3" fillId="0" borderId="0" xfId="0" applyNumberFormat="1" applyFont="1"/>
    <xf numFmtId="0" fontId="3" fillId="0" borderId="0" xfId="0" applyFont="1" applyAlignment="1">
      <alignment wrapText="1"/>
    </xf>
    <xf numFmtId="0" fontId="3" fillId="0" borderId="8" xfId="0" applyFont="1" applyBorder="1"/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3" fillId="0" borderId="8" xfId="0" applyFont="1" applyBorder="1" applyAlignment="1">
      <alignment wrapText="1"/>
    </xf>
    <xf numFmtId="49" fontId="6" fillId="0" borderId="7" xfId="0" applyNumberFormat="1" applyFont="1" applyBorder="1"/>
    <xf numFmtId="0" fontId="6" fillId="0" borderId="7" xfId="0" applyFont="1" applyBorder="1"/>
    <xf numFmtId="0" fontId="6" fillId="0" borderId="9" xfId="0" applyFont="1" applyBorder="1"/>
    <xf numFmtId="49" fontId="6" fillId="0" borderId="7" xfId="0" applyNumberFormat="1" applyFont="1" applyBorder="1" applyAlignment="1">
      <alignment wrapText="1"/>
    </xf>
    <xf numFmtId="0" fontId="0" fillId="2" borderId="1" xfId="0" applyFill="1" applyBorder="1"/>
    <xf numFmtId="0" fontId="7" fillId="2" borderId="1" xfId="0" applyFont="1" applyFill="1" applyBorder="1"/>
    <xf numFmtId="0" fontId="0" fillId="0" borderId="1" xfId="0" applyFill="1" applyBorder="1"/>
    <xf numFmtId="0" fontId="8" fillId="0" borderId="1" xfId="0" applyFont="1" applyFill="1" applyBorder="1"/>
    <xf numFmtId="0" fontId="4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74"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border diagonalUp="0" diagonalDown="0" outline="0">
        <left style="thin">
          <color auto="1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30" formatCode="@"/>
      <border diagonalUp="0" diagonalDown="0" outline="0">
        <left style="thin">
          <color auto="1"/>
        </left>
        <right/>
        <top/>
        <bottom/>
      </border>
    </dxf>
    <dxf>
      <font>
        <b/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numFmt numFmtId="30" formatCode="@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numFmt numFmtId="30" formatCode="@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A4:I10" totalsRowShown="0" headerRowDxfId="73" dataDxfId="71" headerRowBorderDxfId="72" tableBorderDxfId="70" totalsRowBorderDxfId="69">
  <autoFilter ref="A4:I10"/>
  <tableColumns count="9">
    <tableColumn id="1" name="Наименование" dataDxfId="68"/>
    <tableColumn id="2" name="Оклад" dataDxfId="67"/>
    <tableColumn id="3" name="Количество окладов" dataDxfId="66"/>
    <tableColumn id="4" name="Сумма" dataDxfId="65">
      <calculatedColumnFormula>SUM(Таблица1[[#This Row],[Оклад]]*Таблица1[[#This Row],[Количество окладов]])</calculatedColumnFormula>
    </tableColumn>
    <tableColumn id="5" name="РК" dataDxfId="64"/>
    <tableColumn id="9" name="Всего 211" dataDxfId="63">
      <calculatedColumnFormula>Таблица1[[#This Row],[Сумма]]*Таблица1[[#This Row],[РК]]</calculatedColumnFormula>
    </tableColumn>
    <tableColumn id="8" name="Налоги" dataDxfId="62"/>
    <tableColumn id="6" name="Всего 213" dataDxfId="61">
      <calculatedColumnFormula>Таблица1[[#This Row],[Всего 211]]*Таблица1[[#This Row],[Налоги]]</calculatedColumnFormula>
    </tableColumn>
    <tableColumn id="7" name="211+213" dataDxfId="60">
      <calculatedColumnFormula>Таблица1[[#This Row],[Всего 213]]+SUM(Таблица1[[#This Row],[Всего 213]]-Таблица1[[#This Row],[Всего 211]])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2:I20" totalsRowShown="0" headerRowDxfId="59" dataDxfId="57" headerRowBorderDxfId="58" tableBorderDxfId="56" totalsRowBorderDxfId="55">
  <autoFilter ref="A12:I20"/>
  <tableColumns count="9">
    <tableColumn id="1" name="Порказатели" dataDxfId="54"/>
    <tableColumn id="2" name="МРОТ" dataDxfId="53"/>
    <tableColumn id="3" name="Ставок" dataDxfId="52"/>
    <tableColumn id="4" name="Сумма" dataDxfId="51"/>
    <tableColumn id="5" name="РК" dataDxfId="50"/>
    <tableColumn id="6" name="МРОТ с РК" dataDxfId="49"/>
    <tableColumn id="7" name="Столбец6" dataDxfId="48"/>
    <tableColumn id="8" name="Столбец7" dataDxfId="47"/>
    <tableColumn id="9" name="Столбец9" dataDxfId="46">
      <calculatedColumnFormula>SUM(Таблица2[[#This Row],[МРОТ с РК]],Таблица2[[#This Row],[Столбец7]])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4:AD48" totalsRowShown="0">
  <autoFilter ref="A4:AD48"/>
  <tableColumns count="30">
    <tableColumn id="1" name="Столбец1" dataDxfId="45"/>
    <tableColumn id="2" name="Столбец2" dataDxfId="44"/>
    <tableColumn id="22" name="Столбец22" dataDxfId="43"/>
    <tableColumn id="32" name="Столбец23" dataDxfId="42"/>
    <tableColumn id="3" name="Столбец3" dataDxfId="41"/>
    <tableColumn id="4" name="Столбец4" dataDxfId="40"/>
    <tableColumn id="23" name="Столбец42" dataDxfId="39"/>
    <tableColumn id="5" name="Столбец5" dataDxfId="38"/>
    <tableColumn id="6" name="Столбец6" dataDxfId="37"/>
    <tableColumn id="7" name="Столбец7" dataDxfId="36"/>
    <tableColumn id="8" name="Столбец8" dataDxfId="35"/>
    <tableColumn id="9" name="Столбец9" dataDxfId="34"/>
    <tableColumn id="10" name="Столбец10" dataDxfId="33"/>
    <tableColumn id="11" name="Столбец11" dataDxfId="32"/>
    <tableColumn id="12" name="Столбец12" dataDxfId="31"/>
    <tableColumn id="13" name="Столбец13" dataDxfId="30"/>
    <tableColumn id="25" name="Столбец132" dataDxfId="29"/>
    <tableColumn id="14" name="Столбец14" dataDxfId="28"/>
    <tableColumn id="15" name="Столбец15" dataDxfId="27"/>
    <tableColumn id="21" name="Столбец152" dataDxfId="26"/>
    <tableColumn id="31" name="Столбец153" dataDxfId="25"/>
    <tableColumn id="16" name="Столбец16" dataDxfId="24"/>
    <tableColumn id="17" name="Столбец17" dataDxfId="23"/>
    <tableColumn id="26" name="Столбец172" dataDxfId="22"/>
    <tableColumn id="18" name="Столбец18" dataDxfId="21"/>
    <tableColumn id="19" name="Столбец19" dataDxfId="20"/>
    <tableColumn id="24" name="Столбец192" dataDxfId="19"/>
    <tableColumn id="20" name="Столбец20" dataDxfId="18">
      <calculatedColumnFormula>SUM(Таблица4[[#This Row],[Столбец2]:[Столбец192]])</calculatedColumnFormula>
    </tableColumn>
    <tableColumn id="27" name="Столбец21"/>
    <tableColumn id="28" name="Столбец212" dataDxfId="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B3:P12" totalsRowShown="0" headerRowDxfId="16" dataDxfId="15">
  <autoFilter ref="B3:P12"/>
  <tableColumns count="15">
    <tableColumn id="1" name="РЗ ПДР" dataDxfId="14"/>
    <tableColumn id="2" name="Отопление ГКАЛ" dataDxfId="13"/>
    <tableColumn id="3" name="Цена" dataDxfId="12"/>
    <tableColumn id="4" name="Сумма" dataDxfId="11">
      <calculatedColumnFormula>E13+SUM(Таблица5[[#This Row],[Отопление ГКАЛ]]*Таблица5[[#This Row],[Цена]])</calculatedColumnFormula>
    </tableColumn>
    <tableColumn id="5" name="Освещение кВтч" dataDxfId="10"/>
    <tableColumn id="6" name="цена2" dataDxfId="9"/>
    <tableColumn id="7" name="Сумма2" dataDxfId="8">
      <calculatedColumnFormula>SUM(Таблица5[[#This Row],[Освещение кВтч]]*Таблица5[[#This Row],[цена2]])</calculatedColumnFormula>
    </tableColumn>
    <tableColumn id="8" name="Водоснабжение мЗ" dataDxfId="7"/>
    <tableColumn id="9" name="цена3" dataDxfId="6"/>
    <tableColumn id="10" name="Сумма3" dataDxfId="5">
      <calculatedColumnFormula>SUM(Таблица5[[#This Row],[Водоснабжение мЗ]]*Таблица5[[#This Row],[цена3]])</calculatedColumnFormula>
    </tableColumn>
    <tableColumn id="11" name="Водоотведение м3" dataDxfId="4"/>
    <tableColumn id="12" name="Цена4" dataDxfId="3"/>
    <tableColumn id="13" name="Сумма4" dataDxfId="2">
      <calculatedColumnFormula>SUM(Таблица5[[#This Row],[Водоотведение м3]]*Таблица5[[#This Row],[Цена4]])</calculatedColumnFormula>
    </tableColumn>
    <tableColumn id="14" name="ИТОГО" dataDxfId="1">
      <calculatedColumnFormula>SUM(Таблица5[[#This Row],[Сумма]],Таблица5[[#This Row],[Сумма2]],Таблица5[[#This Row],[Сумма3]],Таблица5[[#This Row],[Сумма4]])</calculatedColumnFormula>
    </tableColumn>
    <tableColumn id="15" name="ТКО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I23"/>
  <sheetViews>
    <sheetView topLeftCell="A4" workbookViewId="0">
      <selection activeCell="F5" sqref="F5"/>
    </sheetView>
  </sheetViews>
  <sheetFormatPr defaultRowHeight="12" x14ac:dyDescent="0.25"/>
  <cols>
    <col min="1" max="1" width="33.140625" customWidth="1"/>
    <col min="2" max="2" width="18.140625" style="23" customWidth="1"/>
    <col min="3" max="3" width="10.85546875" customWidth="1"/>
    <col min="4" max="4" width="15.7109375" customWidth="1"/>
    <col min="5" max="5" width="14.28515625" customWidth="1"/>
    <col min="6" max="6" width="16.7109375" customWidth="1"/>
    <col min="7" max="7" width="12.42578125" customWidth="1"/>
    <col min="8" max="8" width="18.28515625" style="23" customWidth="1"/>
    <col min="9" max="9" width="21" customWidth="1"/>
  </cols>
  <sheetData>
    <row r="2" spans="1:9" s="1" customFormat="1" ht="28.2" x14ac:dyDescent="0.5">
      <c r="A2" s="1" t="s">
        <v>72</v>
      </c>
      <c r="B2" s="19"/>
      <c r="H2" s="19"/>
    </row>
    <row r="4" spans="1:9" s="6" customFormat="1" ht="72" x14ac:dyDescent="0.35">
      <c r="A4" s="2" t="s">
        <v>0</v>
      </c>
      <c r="B4" s="21" t="s">
        <v>1</v>
      </c>
      <c r="C4" s="4" t="s">
        <v>2</v>
      </c>
      <c r="D4" s="3" t="s">
        <v>3</v>
      </c>
      <c r="E4" s="3" t="s">
        <v>4</v>
      </c>
      <c r="F4" s="5" t="s">
        <v>5</v>
      </c>
      <c r="G4" s="5" t="s">
        <v>6</v>
      </c>
      <c r="H4" s="20" t="s">
        <v>7</v>
      </c>
      <c r="I4" s="3" t="s">
        <v>15</v>
      </c>
    </row>
    <row r="5" spans="1:9" s="6" customFormat="1" ht="18" x14ac:dyDescent="0.35">
      <c r="A5" s="7" t="s">
        <v>8</v>
      </c>
      <c r="B5" s="22">
        <v>6122</v>
      </c>
      <c r="C5" s="8">
        <v>82</v>
      </c>
      <c r="D5" s="8">
        <f>SUM(Таблица1[[#This Row],[Оклад]]*Таблица1[[#This Row],[Количество окладов]])</f>
        <v>502004</v>
      </c>
      <c r="E5" s="8">
        <v>1.1499999999999999</v>
      </c>
      <c r="F5" s="9">
        <f>Таблица1[[#This Row],[Сумма]]*Таблица1[[#This Row],[РК]]</f>
        <v>577304.6</v>
      </c>
      <c r="G5" s="9">
        <v>0.30199999999999999</v>
      </c>
      <c r="H5" s="11">
        <f>SUM(Таблица1[[#This Row],[Всего 211]]*Таблица1[[#This Row],[Налоги]])</f>
        <v>174345.98919999998</v>
      </c>
      <c r="I5" s="12">
        <f>SUM(Таблица1[[#This Row],[Всего 211]],Таблица1[[#This Row],[Всего 213]])</f>
        <v>751650.58919999993</v>
      </c>
    </row>
    <row r="6" spans="1:9" s="6" customFormat="1" ht="18" x14ac:dyDescent="0.35">
      <c r="A6" s="7" t="s">
        <v>12</v>
      </c>
      <c r="B6" s="22">
        <v>17422</v>
      </c>
      <c r="C6" s="8">
        <v>71</v>
      </c>
      <c r="D6" s="8">
        <f>SUM(Таблица1[[#This Row],[Оклад]]*Таблица1[[#This Row],[Количество окладов]])</f>
        <v>1236962</v>
      </c>
      <c r="E6" s="8">
        <v>1.1499999999999999</v>
      </c>
      <c r="F6" s="9">
        <f>Таблица1[[#This Row],[Сумма]]*Таблица1[[#This Row],[РК]]</f>
        <v>1422506.2999999998</v>
      </c>
      <c r="G6" s="9">
        <v>0.30199999999999999</v>
      </c>
      <c r="H6" s="11">
        <f>SUM(Таблица1[[#This Row],[Всего 211]]*Таблица1[[#This Row],[Налоги]])</f>
        <v>429596.90259999991</v>
      </c>
      <c r="I6" s="11">
        <f>SUM(Таблица1[[#This Row],[Всего 211]],Таблица1[[#This Row],[Всего 213]])</f>
        <v>1852103.2025999997</v>
      </c>
    </row>
    <row r="7" spans="1:9" s="6" customFormat="1" ht="57.75" customHeight="1" x14ac:dyDescent="0.35">
      <c r="A7" s="7" t="s">
        <v>73</v>
      </c>
      <c r="B7" s="22">
        <v>1788.5</v>
      </c>
      <c r="C7" s="8">
        <v>60</v>
      </c>
      <c r="D7" s="8">
        <f>SUM(Таблица1[[#This Row],[Оклад]]*Таблица1[[#This Row],[Количество окладов]])</f>
        <v>107310</v>
      </c>
      <c r="E7" s="8">
        <v>1.1499999999999999</v>
      </c>
      <c r="F7" s="9">
        <f>Таблица1[[#This Row],[Сумма]]*Таблица1[[#This Row],[РК]]</f>
        <v>123406.49999999999</v>
      </c>
      <c r="G7" s="9">
        <v>0.30199999999999999</v>
      </c>
      <c r="H7" s="11">
        <f>SUM(Таблица1[[#This Row],[Всего 211]]*Таблица1[[#This Row],[Налоги]])</f>
        <v>37268.762999999992</v>
      </c>
      <c r="I7" s="11">
        <f>SUM(Таблица1[[#This Row],[Всего 211]],Таблица1[[#This Row],[Всего 213]])</f>
        <v>160675.26299999998</v>
      </c>
    </row>
    <row r="8" spans="1:9" s="6" customFormat="1" ht="18" x14ac:dyDescent="0.35">
      <c r="A8" s="10" t="s">
        <v>14</v>
      </c>
      <c r="B8" s="22"/>
      <c r="C8" s="8"/>
      <c r="D8" s="8">
        <f>SUM(D6,D7)</f>
        <v>1344272</v>
      </c>
      <c r="E8" s="8">
        <v>1.1499999999999999</v>
      </c>
      <c r="F8" s="9">
        <f>Таблица1[[#This Row],[Сумма]]*Таблица1[[#This Row],[РК]]</f>
        <v>1545912.7999999998</v>
      </c>
      <c r="G8" s="9">
        <v>0.30199999999999999</v>
      </c>
      <c r="H8" s="11">
        <f>SUM(Таблица1[[#This Row],[Всего 211]]*Таблица1[[#This Row],[Налоги]])</f>
        <v>466865.66559999995</v>
      </c>
      <c r="I8" s="11">
        <f>SUM(Таблица1[[#This Row],[Всего 211]],Таблица1[[#This Row],[Всего 213]])</f>
        <v>2012778.4655999998</v>
      </c>
    </row>
    <row r="9" spans="1:9" s="6" customFormat="1" ht="18" x14ac:dyDescent="0.35">
      <c r="A9" s="10" t="s">
        <v>74</v>
      </c>
      <c r="B9" s="22"/>
      <c r="C9" s="8"/>
      <c r="D9" s="17">
        <f>SUM(D5+D8)</f>
        <v>1846276</v>
      </c>
      <c r="E9" s="8">
        <v>1.1499999999999999</v>
      </c>
      <c r="F9" s="18">
        <f>Таблица1[[#This Row],[Сумма]]*Таблица1[[#This Row],[РК]]</f>
        <v>2123217.4</v>
      </c>
      <c r="G9" s="9">
        <v>0.30199999999999999</v>
      </c>
      <c r="H9" s="11">
        <f>SUM(Таблица1[[#This Row],[Всего 211]]*Таблица1[[#This Row],[Налоги]])</f>
        <v>641211.6547999999</v>
      </c>
      <c r="I9" s="18">
        <f>SUM(Таблица1[[#This Row],[Всего 211]]+Таблица1[[#This Row],[Всего 213]])</f>
        <v>2764429.0548</v>
      </c>
    </row>
    <row r="10" spans="1:9" s="6" customFormat="1" ht="18" x14ac:dyDescent="0.35">
      <c r="A10" s="10" t="s">
        <v>16</v>
      </c>
      <c r="B10" s="22">
        <v>1274.4000000000001</v>
      </c>
      <c r="C10" s="8">
        <v>60</v>
      </c>
      <c r="D10" s="8">
        <f>SUM(Таблица1[[#This Row],[Оклад]]*Таблица1[[#This Row],[Количество окладов]])</f>
        <v>76464</v>
      </c>
      <c r="E10" s="8">
        <v>1.1499999999999999</v>
      </c>
      <c r="F10" s="9">
        <f>Таблица1[[#This Row],[Сумма]]*Таблица1[[#This Row],[РК]]</f>
        <v>87933.599999999991</v>
      </c>
      <c r="G10" s="9">
        <v>0.30199999999999999</v>
      </c>
      <c r="H10" s="11">
        <f>SUM(Таблица1[[#This Row],[Всего 211]]*Таблица1[[#This Row],[Налоги]])</f>
        <v>26555.947199999995</v>
      </c>
      <c r="I10" s="11">
        <f>SUM(Таблица1[[#This Row],[Всего 211]],Таблица1[[#This Row],[Всего 213]])</f>
        <v>114489.54719999999</v>
      </c>
    </row>
    <row r="12" spans="1:9" ht="36" x14ac:dyDescent="0.35">
      <c r="A12" s="14" t="s">
        <v>26</v>
      </c>
      <c r="B12" s="21" t="s">
        <v>13</v>
      </c>
      <c r="C12" s="3" t="s">
        <v>27</v>
      </c>
      <c r="D12" s="3" t="s">
        <v>3</v>
      </c>
      <c r="E12" s="3" t="s">
        <v>4</v>
      </c>
      <c r="F12" s="4" t="s">
        <v>28</v>
      </c>
      <c r="G12" s="4" t="s">
        <v>22</v>
      </c>
      <c r="H12" s="21" t="s">
        <v>23</v>
      </c>
      <c r="I12" s="5" t="s">
        <v>25</v>
      </c>
    </row>
    <row r="13" spans="1:9" ht="18" x14ac:dyDescent="0.35">
      <c r="A13" s="10" t="s">
        <v>75</v>
      </c>
      <c r="B13" s="22">
        <v>15279</v>
      </c>
      <c r="C13" s="8">
        <v>0.5</v>
      </c>
      <c r="D13" s="8">
        <f>SUM(Таблица2[[#This Row],[МРОТ]]*Таблица2[[#This Row],[Ставок]]*12)</f>
        <v>91674</v>
      </c>
      <c r="E13" s="8"/>
      <c r="F13" s="8">
        <f>Таблица2[[#This Row],[Сумма]]*1.15</f>
        <v>105425.09999999999</v>
      </c>
      <c r="G13" s="25" t="s">
        <v>76</v>
      </c>
      <c r="H13" s="22">
        <f>SUM(Таблица2[[#This Row],[МРОТ с РК]]*G14)</f>
        <v>31838.380199999996</v>
      </c>
      <c r="I13" s="9">
        <f>SUM(Таблица2[[#This Row],[МРОТ с РК]],Таблица2[[#This Row],[Столбец7]])</f>
        <v>137263.48019999999</v>
      </c>
    </row>
    <row r="14" spans="1:9" ht="18" x14ac:dyDescent="0.35">
      <c r="A14" s="10" t="s">
        <v>29</v>
      </c>
      <c r="B14" s="22">
        <v>15279</v>
      </c>
      <c r="C14" s="8">
        <v>2.25</v>
      </c>
      <c r="D14" s="8">
        <f>SUM(Таблица2[[#This Row],[МРОТ]]*Таблица2[[#This Row],[Ставок]]*12)</f>
        <v>412533</v>
      </c>
      <c r="E14" s="8"/>
      <c r="F14" s="8">
        <f>SUM(Таблица2[[#This Row],[Сумма]]*1.15)</f>
        <v>474412.94999999995</v>
      </c>
      <c r="G14" s="8">
        <v>0.30199999999999999</v>
      </c>
      <c r="H14" s="22">
        <f>SUM(Таблица2[[#This Row],[МРОТ с РК]]*Таблица2[[#This Row],[Столбец6]])</f>
        <v>143272.71089999998</v>
      </c>
      <c r="I14" s="9">
        <f>SUM(Таблица2[[#This Row],[МРОТ с РК]],Таблица2[[#This Row],[Столбец7]])</f>
        <v>617685.6608999999</v>
      </c>
    </row>
    <row r="15" spans="1:9" ht="18" x14ac:dyDescent="0.35">
      <c r="A15" s="10" t="s">
        <v>30</v>
      </c>
      <c r="B15" s="22">
        <v>15279</v>
      </c>
      <c r="C15" s="8">
        <v>2.75</v>
      </c>
      <c r="D15" s="8">
        <f>SUM(D13:D14)</f>
        <v>504207</v>
      </c>
      <c r="E15" s="8"/>
      <c r="F15" s="8">
        <f>SUM(F13:F14)</f>
        <v>579838.04999999993</v>
      </c>
      <c r="G15" s="8">
        <v>0.30199999999999999</v>
      </c>
      <c r="H15" s="22">
        <f>SUM(H13:H14)</f>
        <v>175111.09109999996</v>
      </c>
      <c r="I15" s="9">
        <f>SUM(Таблица2[[#This Row],[МРОТ с РК]],Таблица2[[#This Row],[Столбец7]])</f>
        <v>754949.14109999989</v>
      </c>
    </row>
    <row r="16" spans="1:9" ht="18" x14ac:dyDescent="0.35">
      <c r="A16" s="10" t="s">
        <v>9</v>
      </c>
      <c r="B16" s="22">
        <v>15279</v>
      </c>
      <c r="C16" s="8">
        <v>6</v>
      </c>
      <c r="D16" s="8">
        <f>Таблица2[[#This Row],[МРОТ]]*Таблица2[[#This Row],[Ставок]]*12</f>
        <v>1100088</v>
      </c>
      <c r="E16" s="8"/>
      <c r="F16" s="8">
        <f>SUM(Таблица2[[#This Row],[Сумма]]*1.15)</f>
        <v>1265101.2</v>
      </c>
      <c r="G16" s="8">
        <v>0.30199999999999999</v>
      </c>
      <c r="H16" s="22">
        <f>SUM(Таблица2[[#This Row],[МРОТ с РК]]*Таблица2[[#This Row],[Столбец6]])</f>
        <v>382060.5624</v>
      </c>
      <c r="I16" s="9">
        <f>SUM(Таблица2[[#This Row],[МРОТ с РК]],Таблица2[[#This Row],[Столбец7]])</f>
        <v>1647161.7623999999</v>
      </c>
    </row>
    <row r="17" spans="1:9" ht="18" x14ac:dyDescent="0.35">
      <c r="A17" s="10" t="s">
        <v>10</v>
      </c>
      <c r="B17" s="22">
        <v>147096</v>
      </c>
      <c r="C17" s="8">
        <v>12</v>
      </c>
      <c r="D17" s="8">
        <f>SUM(Таблица2[[#This Row],[МРОТ]]*Таблица2[[#This Row],[Ставок]])</f>
        <v>1765152</v>
      </c>
      <c r="E17" s="8"/>
      <c r="F17" s="8">
        <f>SUM(Таблица2[[#This Row],[Сумма]])</f>
        <v>1765152</v>
      </c>
      <c r="G17" s="8">
        <v>0.30199999999999999</v>
      </c>
      <c r="H17" s="22">
        <f>SUM(Таблица2[[#This Row],[МРОТ с РК]]*Таблица2[[#This Row],[Столбец6]])</f>
        <v>533075.90399999998</v>
      </c>
      <c r="I17" s="9">
        <f>SUM(Таблица2[[#This Row],[МРОТ с РК]],Таблица2[[#This Row],[Столбец7]])</f>
        <v>2298227.9040000001</v>
      </c>
    </row>
    <row r="18" spans="1:9" ht="18" x14ac:dyDescent="0.35">
      <c r="A18" s="10"/>
      <c r="B18" s="22"/>
      <c r="C18" s="8"/>
      <c r="D18" s="8"/>
      <c r="E18" s="8"/>
      <c r="F18" s="8"/>
      <c r="G18" s="8"/>
      <c r="H18" s="22"/>
      <c r="I18" s="9">
        <f>SUM(Таблица2[[#This Row],[МРОТ с РК]],Таблица2[[#This Row],[Столбец7]])</f>
        <v>0</v>
      </c>
    </row>
    <row r="19" spans="1:9" ht="18" x14ac:dyDescent="0.35">
      <c r="A19" s="10" t="s">
        <v>31</v>
      </c>
      <c r="B19" s="22"/>
      <c r="C19" s="8"/>
      <c r="D19" s="8"/>
      <c r="E19" s="8"/>
      <c r="F19" s="8">
        <f>SUM(F9,F15,F16,F17)</f>
        <v>5733308.6499999994</v>
      </c>
      <c r="G19" s="8">
        <v>0.30199999999999999</v>
      </c>
      <c r="H19" s="22">
        <f>SUM(Таблица2[[#This Row],[МРОТ с РК]]*Таблица2[[#This Row],[Столбец6]])</f>
        <v>1731459.2122999998</v>
      </c>
      <c r="I19" s="9">
        <f>SUM(Таблица2[[#This Row],[МРОТ с РК]],Таблица2[[#This Row],[Столбец7]])</f>
        <v>7464767.8622999992</v>
      </c>
    </row>
    <row r="20" spans="1:9" ht="18" x14ac:dyDescent="0.35">
      <c r="A20" s="10"/>
      <c r="B20" s="22"/>
      <c r="C20" s="8"/>
      <c r="D20" s="8"/>
      <c r="E20" s="8"/>
      <c r="F20" s="8"/>
      <c r="G20" s="8"/>
      <c r="H20" s="22"/>
      <c r="I20" s="9" t="s">
        <v>77</v>
      </c>
    </row>
    <row r="23" spans="1:9" x14ac:dyDescent="0.25">
      <c r="F23" s="24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D62"/>
  <sheetViews>
    <sheetView tabSelected="1" topLeftCell="I5" workbookViewId="0">
      <selection activeCell="Q26" sqref="Q26"/>
    </sheetView>
  </sheetViews>
  <sheetFormatPr defaultRowHeight="12" x14ac:dyDescent="0.25"/>
  <cols>
    <col min="1" max="4" width="11.42578125" customWidth="1"/>
    <col min="5" max="5" width="9.85546875" customWidth="1"/>
    <col min="6" max="12" width="11.42578125" customWidth="1"/>
    <col min="13" max="13" width="12.42578125" customWidth="1"/>
    <col min="14" max="14" width="9" customWidth="1"/>
    <col min="15" max="15" width="12.42578125" customWidth="1"/>
    <col min="16" max="16" width="13.7109375" customWidth="1"/>
    <col min="17" max="17" width="9" customWidth="1"/>
    <col min="18" max="28" width="12.42578125" customWidth="1"/>
  </cols>
  <sheetData>
    <row r="1" spans="1:30" ht="21" x14ac:dyDescent="0.4">
      <c r="A1" s="16" t="s">
        <v>105</v>
      </c>
      <c r="B1" s="16"/>
      <c r="C1" s="16"/>
      <c r="D1" s="16"/>
      <c r="E1" s="16"/>
      <c r="F1" s="41"/>
      <c r="G1" s="42"/>
      <c r="H1" s="42"/>
      <c r="I1" s="42"/>
      <c r="J1" s="42"/>
    </row>
    <row r="3" spans="1:30" x14ac:dyDescent="0.25">
      <c r="B3" t="s">
        <v>101</v>
      </c>
      <c r="C3" t="s">
        <v>64</v>
      </c>
      <c r="D3" t="s">
        <v>100</v>
      </c>
      <c r="E3">
        <v>266</v>
      </c>
      <c r="F3">
        <v>213</v>
      </c>
      <c r="G3" t="s">
        <v>65</v>
      </c>
      <c r="H3">
        <v>221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>
        <v>224</v>
      </c>
      <c r="O3">
        <v>225</v>
      </c>
      <c r="P3">
        <v>226</v>
      </c>
      <c r="Q3">
        <v>227</v>
      </c>
      <c r="R3">
        <v>251</v>
      </c>
      <c r="S3">
        <v>264</v>
      </c>
      <c r="T3" t="s">
        <v>61</v>
      </c>
      <c r="U3" t="s">
        <v>96</v>
      </c>
      <c r="V3">
        <v>291</v>
      </c>
      <c r="W3">
        <v>297</v>
      </c>
      <c r="X3">
        <v>310</v>
      </c>
      <c r="Y3">
        <v>343</v>
      </c>
      <c r="Z3">
        <v>344</v>
      </c>
      <c r="AA3">
        <v>346</v>
      </c>
      <c r="AB3" t="s">
        <v>11</v>
      </c>
    </row>
    <row r="4" spans="1:30" hidden="1" x14ac:dyDescent="0.25">
      <c r="A4" t="s">
        <v>17</v>
      </c>
      <c r="B4" t="s">
        <v>18</v>
      </c>
      <c r="C4" t="s">
        <v>62</v>
      </c>
      <c r="D4" t="s">
        <v>99</v>
      </c>
      <c r="E4" t="s">
        <v>19</v>
      </c>
      <c r="F4" t="s">
        <v>20</v>
      </c>
      <c r="G4" t="s">
        <v>63</v>
      </c>
      <c r="H4" t="s">
        <v>21</v>
      </c>
      <c r="I4" t="s">
        <v>22</v>
      </c>
      <c r="J4" t="s">
        <v>23</v>
      </c>
      <c r="K4" t="s">
        <v>24</v>
      </c>
      <c r="L4" t="s">
        <v>25</v>
      </c>
      <c r="M4" t="s">
        <v>37</v>
      </c>
      <c r="N4" t="s">
        <v>38</v>
      </c>
      <c r="O4" t="s">
        <v>39</v>
      </c>
      <c r="P4" t="s">
        <v>40</v>
      </c>
      <c r="Q4" t="s">
        <v>69</v>
      </c>
      <c r="R4" t="s">
        <v>41</v>
      </c>
      <c r="S4" t="s">
        <v>42</v>
      </c>
      <c r="T4" t="s">
        <v>60</v>
      </c>
      <c r="U4" t="s">
        <v>95</v>
      </c>
      <c r="V4" t="s">
        <v>43</v>
      </c>
      <c r="W4" t="s">
        <v>44</v>
      </c>
      <c r="X4" t="s">
        <v>70</v>
      </c>
      <c r="Y4" t="s">
        <v>45</v>
      </c>
      <c r="Z4" t="s">
        <v>46</v>
      </c>
      <c r="AA4" t="s">
        <v>67</v>
      </c>
      <c r="AB4" t="s">
        <v>47</v>
      </c>
      <c r="AC4" t="s">
        <v>98</v>
      </c>
      <c r="AD4" t="s">
        <v>104</v>
      </c>
    </row>
    <row r="5" spans="1:30" x14ac:dyDescent="0.25">
      <c r="A5" s="15" t="s">
        <v>8</v>
      </c>
      <c r="B5" s="39">
        <v>141</v>
      </c>
      <c r="C5" s="39">
        <v>465</v>
      </c>
      <c r="D5" s="39">
        <v>6</v>
      </c>
      <c r="E5" s="39"/>
      <c r="F5" s="39">
        <v>44</v>
      </c>
      <c r="G5" s="39">
        <v>141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>
        <f>SUM(Таблица4[[#This Row],[Столбец2]:[Столбец192]])</f>
        <v>797</v>
      </c>
    </row>
    <row r="6" spans="1:30" x14ac:dyDescent="0.25">
      <c r="A6" s="15" t="s">
        <v>48</v>
      </c>
      <c r="B6" s="40">
        <v>391.5</v>
      </c>
      <c r="C6" s="40">
        <v>1315</v>
      </c>
      <c r="D6" s="40">
        <v>17</v>
      </c>
      <c r="E6" s="40"/>
      <c r="F6" s="40">
        <v>123.3</v>
      </c>
      <c r="G6" s="40">
        <v>397</v>
      </c>
      <c r="H6" s="39">
        <v>60</v>
      </c>
      <c r="I6" s="39">
        <v>73</v>
      </c>
      <c r="J6" s="39">
        <v>20</v>
      </c>
      <c r="K6" s="39">
        <v>2.7</v>
      </c>
      <c r="L6" s="39">
        <v>2.2999999999999998</v>
      </c>
      <c r="M6" s="39">
        <v>5</v>
      </c>
      <c r="N6" s="39">
        <v>12</v>
      </c>
      <c r="O6" s="39">
        <v>6</v>
      </c>
      <c r="P6" s="40">
        <v>5</v>
      </c>
      <c r="Q6" s="39"/>
      <c r="R6" s="39"/>
      <c r="S6" s="39"/>
      <c r="T6" s="39"/>
      <c r="U6" s="39"/>
      <c r="V6" s="39"/>
      <c r="W6" s="39"/>
      <c r="X6" s="39"/>
      <c r="Y6" s="39"/>
      <c r="Z6" s="39"/>
      <c r="AA6" s="39">
        <v>20</v>
      </c>
      <c r="AB6" s="39">
        <f>SUM(Таблица4[[#This Row],[Столбец2]:[Столбец192]])</f>
        <v>2449.8000000000002</v>
      </c>
    </row>
    <row r="7" spans="1:30" x14ac:dyDescent="0.25">
      <c r="A7" s="15" t="s">
        <v>49</v>
      </c>
      <c r="B7" s="39">
        <v>140.4</v>
      </c>
      <c r="C7" s="39">
        <v>470</v>
      </c>
      <c r="D7" s="39">
        <v>6.1</v>
      </c>
      <c r="E7" s="39"/>
      <c r="F7" s="39">
        <v>44</v>
      </c>
      <c r="G7" s="39">
        <v>142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>
        <f>SUM(Таблица4[[#This Row],[Столбец2]:[Столбец192]])</f>
        <v>802.5</v>
      </c>
    </row>
    <row r="8" spans="1:30" x14ac:dyDescent="0.25">
      <c r="A8" s="15" t="s">
        <v>50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>
        <v>2</v>
      </c>
      <c r="X8" s="39"/>
      <c r="Y8" s="39"/>
      <c r="Z8" s="39"/>
      <c r="AA8" s="39"/>
      <c r="AB8" s="39">
        <f>SUM(Таблица4[[#This Row],[Столбец2]:[Столбец192]])</f>
        <v>2</v>
      </c>
    </row>
    <row r="9" spans="1:30" x14ac:dyDescent="0.25">
      <c r="A9" s="15" t="s">
        <v>51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>
        <v>20</v>
      </c>
      <c r="P9" s="39">
        <v>70</v>
      </c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>
        <f>SUM(Таблица4[[#This Row],[Столбец2]:[Столбец192]])</f>
        <v>90</v>
      </c>
    </row>
    <row r="10" spans="1:30" x14ac:dyDescent="0.25">
      <c r="A10" s="15" t="s">
        <v>52</v>
      </c>
      <c r="B10" s="39"/>
      <c r="C10" s="39"/>
      <c r="D10" s="39"/>
      <c r="E10" s="39"/>
      <c r="F10" s="39"/>
      <c r="G10" s="39"/>
      <c r="H10" s="39"/>
      <c r="I10" s="39">
        <v>1318.4</v>
      </c>
      <c r="J10" s="39">
        <v>59.5</v>
      </c>
      <c r="K10" s="39"/>
      <c r="L10" s="39"/>
      <c r="M10" s="39"/>
      <c r="N10" s="39"/>
      <c r="O10" s="39">
        <v>7</v>
      </c>
      <c r="P10" s="39"/>
      <c r="Q10" s="39">
        <v>13</v>
      </c>
      <c r="R10" s="39"/>
      <c r="S10" s="39"/>
      <c r="T10" s="39">
        <v>77.3</v>
      </c>
      <c r="U10" s="39">
        <v>19.3</v>
      </c>
      <c r="V10" s="39">
        <v>15</v>
      </c>
      <c r="W10" s="39"/>
      <c r="X10" s="39"/>
      <c r="Y10" s="39"/>
      <c r="Z10" s="39"/>
      <c r="AA10" s="39">
        <v>5</v>
      </c>
      <c r="AB10" s="39">
        <f>SUM(Таблица4[[#This Row],[Столбец2]:[Столбец192]])</f>
        <v>1514.5</v>
      </c>
    </row>
    <row r="11" spans="1:30" x14ac:dyDescent="0.25">
      <c r="A11" s="15" t="s">
        <v>16</v>
      </c>
      <c r="B11" s="39"/>
      <c r="C11" s="39">
        <v>105</v>
      </c>
      <c r="D11" s="39"/>
      <c r="E11" s="39"/>
      <c r="F11" s="39"/>
      <c r="G11" s="39">
        <v>30.8</v>
      </c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>
        <f>SUM(Таблица4[[#This Row],[Столбец2]:[Столбец192]])</f>
        <v>135.80000000000001</v>
      </c>
    </row>
    <row r="12" spans="1:30" x14ac:dyDescent="0.25">
      <c r="A12" s="15" t="s">
        <v>9</v>
      </c>
      <c r="B12" s="39">
        <v>348.4</v>
      </c>
      <c r="C12" s="39">
        <v>1164</v>
      </c>
      <c r="D12" s="39">
        <v>15.2</v>
      </c>
      <c r="E12" s="39"/>
      <c r="F12" s="39">
        <v>110.4</v>
      </c>
      <c r="G12" s="39">
        <v>351</v>
      </c>
      <c r="H12" s="39">
        <v>9.6</v>
      </c>
      <c r="I12" s="39">
        <v>175</v>
      </c>
      <c r="J12" s="39">
        <v>35</v>
      </c>
      <c r="K12" s="39"/>
      <c r="L12" s="39"/>
      <c r="M12" s="39">
        <v>5</v>
      </c>
      <c r="N12" s="39"/>
      <c r="O12" s="39"/>
      <c r="P12" s="39">
        <v>27</v>
      </c>
      <c r="Q12" s="39">
        <v>10</v>
      </c>
      <c r="R12" s="39">
        <v>7</v>
      </c>
      <c r="S12" s="39"/>
      <c r="T12" s="39"/>
      <c r="U12" s="39"/>
      <c r="V12" s="39">
        <v>10</v>
      </c>
      <c r="W12" s="39"/>
      <c r="X12" s="39"/>
      <c r="Y12" s="39">
        <v>30</v>
      </c>
      <c r="Z12" s="39"/>
      <c r="AA12" s="39">
        <v>25</v>
      </c>
      <c r="AB12" s="39">
        <f>SUM(Таблица4[[#This Row],[Столбец2]:[Столбец192]])</f>
        <v>2322.6000000000004</v>
      </c>
    </row>
    <row r="13" spans="1:30" x14ac:dyDescent="0.25">
      <c r="A13" s="15" t="s">
        <v>53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>
        <v>2829.9</v>
      </c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>
        <f>SUM(Таблица4[[#This Row],[Столбец2]:[Столбец192]])</f>
        <v>2829.9</v>
      </c>
    </row>
    <row r="14" spans="1:30" x14ac:dyDescent="0.25">
      <c r="A14" s="15" t="s">
        <v>59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>
        <v>233.6</v>
      </c>
      <c r="P14" s="39"/>
      <c r="Q14" s="39"/>
      <c r="R14" s="39">
        <v>1.7</v>
      </c>
      <c r="S14" s="39"/>
      <c r="T14" s="39"/>
      <c r="U14" s="39"/>
      <c r="V14" s="39"/>
      <c r="W14" s="39"/>
      <c r="X14" s="39"/>
      <c r="Y14" s="39"/>
      <c r="Z14" s="39"/>
      <c r="AA14" s="39"/>
      <c r="AB14" s="39">
        <f>SUM(Таблица4[[#This Row],[Столбец2]:[Столбец192]])</f>
        <v>235.29999999999998</v>
      </c>
      <c r="AC14">
        <v>2.2999999999999998</v>
      </c>
    </row>
    <row r="15" spans="1:30" x14ac:dyDescent="0.25">
      <c r="A15" s="15" t="s">
        <v>102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>
        <v>40</v>
      </c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>
        <f>SUM(Таблица4[[#This Row],[Столбец132]])</f>
        <v>40</v>
      </c>
    </row>
    <row r="16" spans="1:30" x14ac:dyDescent="0.25">
      <c r="A16" s="15" t="s">
        <v>54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>
        <v>30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>
        <f>SUM(Таблица4[[#This Row],[Столбец2]:[Столбец192]])</f>
        <v>30</v>
      </c>
    </row>
    <row r="17" spans="1:29" x14ac:dyDescent="0.25">
      <c r="A17" s="15" t="s">
        <v>97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>
        <v>247.6</v>
      </c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>
        <f>SUM(Таблица4[[#This Row],[Столбец2]:[Столбец192]])</f>
        <v>247.6</v>
      </c>
    </row>
    <row r="18" spans="1:29" x14ac:dyDescent="0.25">
      <c r="A18" s="15" t="s">
        <v>55</v>
      </c>
      <c r="B18" s="39"/>
      <c r="C18" s="39"/>
      <c r="D18" s="39"/>
      <c r="E18" s="39"/>
      <c r="F18" s="39"/>
      <c r="G18" s="39"/>
      <c r="H18" s="39"/>
      <c r="I18" s="39"/>
      <c r="J18" s="39">
        <v>400</v>
      </c>
      <c r="K18" s="39"/>
      <c r="L18" s="39"/>
      <c r="M18" s="39"/>
      <c r="N18" s="39"/>
      <c r="O18" s="37">
        <v>60</v>
      </c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>
        <v>40</v>
      </c>
      <c r="AA18" s="37"/>
      <c r="AB18" s="37">
        <f>SUM(Таблица4[[#This Row],[Столбец2]:[Столбец192]])</f>
        <v>500</v>
      </c>
    </row>
    <row r="19" spans="1:29" x14ac:dyDescent="0.25">
      <c r="A19" s="15" t="s">
        <v>56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>
        <v>94.8</v>
      </c>
      <c r="N19" s="39"/>
      <c r="O19" s="38">
        <v>309.8</v>
      </c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>
        <f>SUM(Таблица4[[#This Row],[Столбец2]:[Столбец192]])</f>
        <v>404.6</v>
      </c>
    </row>
    <row r="20" spans="1:29" x14ac:dyDescent="0.25">
      <c r="A20" s="15" t="s">
        <v>57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>
        <v>33</v>
      </c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>
        <f>SUM(Таблица4[[#This Row],[Столбец2]:[Столбец192]])</f>
        <v>33</v>
      </c>
    </row>
    <row r="21" spans="1:29" x14ac:dyDescent="0.25">
      <c r="A21" s="15" t="s">
        <v>58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>
        <v>15</v>
      </c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>
        <f>SUM(Таблица4[[#This Row],[Столбец2]:[Столбец192]])</f>
        <v>15</v>
      </c>
    </row>
    <row r="22" spans="1:29" x14ac:dyDescent="0.25">
      <c r="A22" s="15" t="s">
        <v>10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>
        <f>SUM(Таблица4[[#This Row],[Столбец2]:[Столбец192]])</f>
        <v>0</v>
      </c>
    </row>
    <row r="23" spans="1:29" x14ac:dyDescent="0.25">
      <c r="A23" s="15" t="s">
        <v>10</v>
      </c>
      <c r="B23" s="39">
        <v>432.1</v>
      </c>
      <c r="C23" s="39">
        <v>1440</v>
      </c>
      <c r="D23" s="39">
        <v>18.899999999999999</v>
      </c>
      <c r="E23" s="39"/>
      <c r="F23" s="39">
        <v>138.30000000000001</v>
      </c>
      <c r="G23" s="39">
        <v>432.4</v>
      </c>
      <c r="H23" s="39">
        <v>28</v>
      </c>
      <c r="I23" s="39">
        <v>80</v>
      </c>
      <c r="J23" s="39">
        <v>30</v>
      </c>
      <c r="K23" s="39">
        <v>3.6</v>
      </c>
      <c r="L23" s="39">
        <v>3.3</v>
      </c>
      <c r="M23" s="39">
        <v>4</v>
      </c>
      <c r="N23" s="39"/>
      <c r="O23" s="37">
        <v>6</v>
      </c>
      <c r="P23" s="37">
        <v>6</v>
      </c>
      <c r="Q23" s="37"/>
      <c r="R23" s="37"/>
      <c r="S23" s="37"/>
      <c r="T23" s="37"/>
      <c r="U23" s="37"/>
      <c r="V23" s="37"/>
      <c r="W23" s="37"/>
      <c r="X23" s="37">
        <v>50</v>
      </c>
      <c r="Y23" s="37"/>
      <c r="Z23" s="37"/>
      <c r="AA23" s="37">
        <v>15</v>
      </c>
      <c r="AB23" s="37">
        <f>SUM(Таблица4[[#This Row],[Столбец2]:[Столбец192]])</f>
        <v>2687.6</v>
      </c>
    </row>
    <row r="24" spans="1:29" x14ac:dyDescent="0.25">
      <c r="A24" s="15" t="s">
        <v>59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>
        <f>SUM(Таблица4[[#This Row],[Столбец2]:[Столбец192]])</f>
        <v>0</v>
      </c>
    </row>
    <row r="25" spans="1:29" x14ac:dyDescent="0.25">
      <c r="A25" s="15" t="s">
        <v>66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7"/>
      <c r="P25" s="37"/>
      <c r="Q25" s="37"/>
      <c r="R25" s="37"/>
      <c r="S25" s="37">
        <v>541.79999999999995</v>
      </c>
      <c r="T25" s="37"/>
      <c r="U25" s="37"/>
      <c r="V25" s="37"/>
      <c r="W25" s="37"/>
      <c r="X25" s="37"/>
      <c r="Y25" s="37"/>
      <c r="Z25" s="37"/>
      <c r="AA25" s="37"/>
      <c r="AB25" s="37">
        <f>SUM(Таблица4[[#This Row],[Столбец2]:[Столбец192]])</f>
        <v>541.79999999999995</v>
      </c>
    </row>
    <row r="26" spans="1:29" x14ac:dyDescent="0.25">
      <c r="A26" s="15" t="s">
        <v>68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7"/>
      <c r="P26" s="37"/>
      <c r="Q26" s="37"/>
      <c r="R26" s="37"/>
      <c r="S26" s="37"/>
      <c r="T26" s="37"/>
      <c r="U26" s="37"/>
      <c r="V26" s="37"/>
      <c r="W26" s="37">
        <v>5</v>
      </c>
      <c r="X26" s="37"/>
      <c r="Y26" s="37"/>
      <c r="Z26" s="37"/>
      <c r="AA26" s="37"/>
      <c r="AB26" s="37">
        <f>SUM(Таблица4[[#This Row],[Столбец2]:[Столбец192]])</f>
        <v>5</v>
      </c>
    </row>
    <row r="27" spans="1:29" x14ac:dyDescent="0.25">
      <c r="A27" s="15" t="s">
        <v>103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7"/>
      <c r="P27" s="37">
        <v>60</v>
      </c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>
        <f>SUM(Таблица4[[#This Row],[Столбец2]:[Столбец192]])</f>
        <v>60</v>
      </c>
    </row>
    <row r="28" spans="1:29" x14ac:dyDescent="0.25">
      <c r="A28" s="15" t="s">
        <v>11</v>
      </c>
      <c r="B28" s="39">
        <f>SUM(B5:B27)</f>
        <v>1453.4</v>
      </c>
      <c r="C28" s="39">
        <f>SUM(C5:C27)</f>
        <v>4959</v>
      </c>
      <c r="D28" s="39">
        <f>SUM(D5:D27)</f>
        <v>63.199999999999996</v>
      </c>
      <c r="E28" s="39">
        <f>SUM(E5:E27)</f>
        <v>0</v>
      </c>
      <c r="F28" s="39">
        <f>H24+SUM(F5:F27)</f>
        <v>460.00000000000006</v>
      </c>
      <c r="G28" s="39">
        <f>SUM(G5:G27)</f>
        <v>1494.1999999999998</v>
      </c>
      <c r="H28" s="39">
        <f t="shared" ref="H28:Z28" si="0">SUM(H5:H27)</f>
        <v>97.6</v>
      </c>
      <c r="I28" s="39">
        <f t="shared" si="0"/>
        <v>1646.4</v>
      </c>
      <c r="J28" s="39">
        <f t="shared" si="0"/>
        <v>544.5</v>
      </c>
      <c r="K28" s="39">
        <f t="shared" si="0"/>
        <v>6.3000000000000007</v>
      </c>
      <c r="L28" s="39">
        <f t="shared" si="0"/>
        <v>5.6</v>
      </c>
      <c r="M28" s="39">
        <f t="shared" si="0"/>
        <v>108.8</v>
      </c>
      <c r="N28" s="39">
        <f t="shared" si="0"/>
        <v>12</v>
      </c>
      <c r="O28" s="37">
        <f t="shared" si="0"/>
        <v>3782.9</v>
      </c>
      <c r="P28" s="37">
        <f t="shared" si="0"/>
        <v>183</v>
      </c>
      <c r="Q28" s="37">
        <f>SUM(Q5:Q27)</f>
        <v>63</v>
      </c>
      <c r="R28" s="37">
        <f t="shared" si="0"/>
        <v>8.6999999999999993</v>
      </c>
      <c r="S28" s="37">
        <f t="shared" si="0"/>
        <v>541.79999999999995</v>
      </c>
      <c r="T28" s="37">
        <f>SUM(T5:T27)</f>
        <v>77.3</v>
      </c>
      <c r="U28" s="37">
        <f>SUM(U5:U26)</f>
        <v>19.3</v>
      </c>
      <c r="V28" s="37">
        <f t="shared" si="0"/>
        <v>25</v>
      </c>
      <c r="W28" s="37">
        <f t="shared" si="0"/>
        <v>7</v>
      </c>
      <c r="X28" s="37">
        <f>SUM(X5:X27)</f>
        <v>50</v>
      </c>
      <c r="Y28" s="37">
        <f t="shared" si="0"/>
        <v>30</v>
      </c>
      <c r="Z28" s="37">
        <f t="shared" si="0"/>
        <v>40</v>
      </c>
      <c r="AA28" s="37">
        <f>SUM(AA5:AA27)</f>
        <v>65</v>
      </c>
      <c r="AB28" s="37">
        <f>SUM(Таблица4[[#This Row],[Столбец2]:[Столбец192]])</f>
        <v>15743.999999999996</v>
      </c>
      <c r="AC28">
        <v>2.2999999999999998</v>
      </c>
    </row>
    <row r="29" spans="1:29" hidden="1" x14ac:dyDescent="0.25">
      <c r="A29" s="15"/>
      <c r="B29" s="13"/>
      <c r="C29" s="13"/>
      <c r="D29" s="13"/>
      <c r="E29" s="13">
        <v>1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>
        <f>SUM(Таблица4[[#This Row],[Столбец2]:[Столбец192]])</f>
        <v>1</v>
      </c>
    </row>
    <row r="30" spans="1:29" hidden="1" x14ac:dyDescent="0.25">
      <c r="A30" s="15"/>
      <c r="B30" s="13"/>
      <c r="C30" s="13"/>
      <c r="D30" s="13"/>
      <c r="E30" s="13">
        <v>1</v>
      </c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>
        <f>SUM(Таблица4[[#This Row],[Столбец2]:[Столбец192]])</f>
        <v>1</v>
      </c>
    </row>
    <row r="31" spans="1:29" hidden="1" x14ac:dyDescent="0.25">
      <c r="A31" s="15"/>
      <c r="B31" s="13"/>
      <c r="C31" s="13"/>
      <c r="D31" s="13"/>
      <c r="E31" s="13">
        <v>1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>
        <f>SUM(Таблица4[[#This Row],[Столбец2]:[Столбец192]])</f>
        <v>1</v>
      </c>
    </row>
    <row r="32" spans="1:29" hidden="1" x14ac:dyDescent="0.25">
      <c r="A32" s="15"/>
      <c r="B32" s="13"/>
      <c r="C32" s="13"/>
      <c r="D32" s="13"/>
      <c r="E32" s="13">
        <v>1</v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>
        <f>SUM(Таблица4[[#This Row],[Столбец2]:[Столбец192]])</f>
        <v>1</v>
      </c>
    </row>
    <row r="33" spans="1:28" hidden="1" x14ac:dyDescent="0.25">
      <c r="A33" s="15"/>
      <c r="B33" s="13"/>
      <c r="C33" s="13"/>
      <c r="D33" s="13"/>
      <c r="E33" s="13">
        <v>1</v>
      </c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>
        <f>SUM(Таблица4[[#This Row],[Столбец2]:[Столбец192]])</f>
        <v>1</v>
      </c>
    </row>
    <row r="34" spans="1:28" hidden="1" x14ac:dyDescent="0.25">
      <c r="A34" s="15"/>
      <c r="B34" s="13"/>
      <c r="C34" s="13"/>
      <c r="D34" s="13"/>
      <c r="E34" s="13">
        <v>1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>
        <f>SUM(Таблица4[[#This Row],[Столбец2]:[Столбец192]])</f>
        <v>1</v>
      </c>
    </row>
    <row r="35" spans="1:28" hidden="1" x14ac:dyDescent="0.25">
      <c r="A35" s="15"/>
      <c r="B35" s="13"/>
      <c r="C35" s="13"/>
      <c r="D35" s="13"/>
      <c r="E35" s="13">
        <v>1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>
        <f>SUM(Таблица4[[#This Row],[Столбец2]:[Столбец192]])</f>
        <v>1</v>
      </c>
    </row>
    <row r="36" spans="1:28" hidden="1" x14ac:dyDescent="0.25">
      <c r="A36" s="15"/>
      <c r="B36" s="13"/>
      <c r="C36" s="13"/>
      <c r="D36" s="13"/>
      <c r="E36" s="13">
        <v>1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>
        <f>SUM(Таблица4[[#This Row],[Столбец2]:[Столбец192]])</f>
        <v>1</v>
      </c>
    </row>
    <row r="37" spans="1:28" hidden="1" x14ac:dyDescent="0.25">
      <c r="A37" s="15"/>
      <c r="B37" s="13"/>
      <c r="C37" s="13"/>
      <c r="D37" s="13"/>
      <c r="E37" s="13">
        <v>1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>
        <f>SUM(Таблица4[[#This Row],[Столбец2]:[Столбец192]])</f>
        <v>1</v>
      </c>
    </row>
    <row r="38" spans="1:28" hidden="1" x14ac:dyDescent="0.25">
      <c r="A38" s="13"/>
      <c r="B38" s="13"/>
      <c r="C38" s="13"/>
      <c r="D38" s="13"/>
      <c r="E38" s="13">
        <v>1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>
        <f>SUM(Таблица4[[#This Row],[Столбец2]:[Столбец192]])</f>
        <v>1</v>
      </c>
    </row>
    <row r="39" spans="1:28" hidden="1" x14ac:dyDescent="0.25">
      <c r="A39" s="13"/>
      <c r="B39" s="13"/>
      <c r="C39" s="13"/>
      <c r="D39" s="13"/>
      <c r="E39" s="13">
        <v>1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>
        <f>SUM(Таблица4[[#This Row],[Столбец2]:[Столбец192]])</f>
        <v>1</v>
      </c>
    </row>
    <row r="40" spans="1:28" hidden="1" x14ac:dyDescent="0.25">
      <c r="A40" s="13"/>
      <c r="B40" s="13"/>
      <c r="C40" s="13"/>
      <c r="D40" s="13"/>
      <c r="E40" s="13">
        <v>1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>
        <f>SUM(Таблица4[[#This Row],[Столбец2]:[Столбец192]])</f>
        <v>1</v>
      </c>
    </row>
    <row r="41" spans="1:28" hidden="1" x14ac:dyDescent="0.25">
      <c r="A41" s="13"/>
      <c r="B41" s="13"/>
      <c r="C41" s="13"/>
      <c r="D41" s="13"/>
      <c r="E41" s="13">
        <v>1</v>
      </c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>
        <f>SUM(Таблица4[[#This Row],[Столбец2]:[Столбец192]])</f>
        <v>1</v>
      </c>
    </row>
    <row r="42" spans="1:28" hidden="1" x14ac:dyDescent="0.25">
      <c r="A42" s="13"/>
      <c r="B42" s="13"/>
      <c r="C42" s="13"/>
      <c r="D42" s="13"/>
      <c r="E42" s="13">
        <v>1</v>
      </c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>
        <f>SUM(Таблица4[[#This Row],[Столбец2]:[Столбец192]])</f>
        <v>1</v>
      </c>
    </row>
    <row r="43" spans="1:28" hidden="1" x14ac:dyDescent="0.25">
      <c r="A43" s="13"/>
      <c r="B43" s="13"/>
      <c r="C43" s="13"/>
      <c r="D43" s="13"/>
      <c r="E43" s="13">
        <v>1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>
        <f>SUM(Таблица4[[#This Row],[Столбец2]:[Столбец192]])</f>
        <v>1</v>
      </c>
    </row>
    <row r="44" spans="1:28" hidden="1" x14ac:dyDescent="0.25">
      <c r="A44" s="13"/>
      <c r="B44" s="13"/>
      <c r="C44" s="13"/>
      <c r="D44" s="13"/>
      <c r="E44" s="13">
        <v>1</v>
      </c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>
        <f>SUM(Таблица4[[#This Row],[Столбец2]:[Столбец192]])</f>
        <v>1</v>
      </c>
    </row>
    <row r="45" spans="1:28" hidden="1" x14ac:dyDescent="0.25">
      <c r="A45" s="13"/>
      <c r="B45" s="13"/>
      <c r="C45" s="13"/>
      <c r="D45" s="13"/>
      <c r="E45" s="13">
        <v>1</v>
      </c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>
        <f>SUM(Таблица4[[#This Row],[Столбец2]:[Столбец192]])</f>
        <v>1</v>
      </c>
    </row>
    <row r="46" spans="1:28" hidden="1" x14ac:dyDescent="0.25">
      <c r="A46" s="13"/>
      <c r="B46" s="13"/>
      <c r="C46" s="13"/>
      <c r="D46" s="13"/>
      <c r="E46" s="13">
        <v>1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>
        <f>SUM(Таблица4[[#This Row],[Столбец2]:[Столбец192]])</f>
        <v>1</v>
      </c>
    </row>
    <row r="47" spans="1:28" hidden="1" x14ac:dyDescent="0.25">
      <c r="A47" s="13"/>
      <c r="B47" s="13"/>
      <c r="C47" s="13"/>
      <c r="D47" s="13"/>
      <c r="E47" s="13">
        <v>1</v>
      </c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>
        <f>SUM(Таблица4[[#This Row],[Столбец2]:[Столбец192]])</f>
        <v>1</v>
      </c>
    </row>
    <row r="48" spans="1:28" hidden="1" x14ac:dyDescent="0.25">
      <c r="A48" s="13"/>
      <c r="B48" s="13"/>
      <c r="C48" s="13"/>
      <c r="D48" s="13"/>
      <c r="E48" s="13">
        <v>1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>
        <f>SUM(Таблица4[[#This Row],[Столбец2]:[Столбец192]])</f>
        <v>1</v>
      </c>
    </row>
    <row r="49" spans="6:30" hidden="1" x14ac:dyDescent="0.25"/>
    <row r="50" spans="6:30" x14ac:dyDescent="0.25">
      <c r="AD50">
        <f>SUM(B28:AA28)</f>
        <v>15743.999999999996</v>
      </c>
    </row>
    <row r="51" spans="6:30" x14ac:dyDescent="0.25">
      <c r="G51">
        <f>SUM(B28:G28)</f>
        <v>8429.7999999999993</v>
      </c>
      <c r="M51">
        <f>SUM(I28:M28)</f>
        <v>2311.6000000000004</v>
      </c>
    </row>
    <row r="53" spans="6:30" x14ac:dyDescent="0.25">
      <c r="G53">
        <f>SUM(B28:G28)</f>
        <v>8429.7999999999993</v>
      </c>
      <c r="AB53">
        <v>15734</v>
      </c>
    </row>
    <row r="62" spans="6:30" x14ac:dyDescent="0.25">
      <c r="F62" t="s">
        <v>71</v>
      </c>
    </row>
  </sheetData>
  <mergeCells count="1">
    <mergeCell ref="F1:J1"/>
  </mergeCells>
  <phoneticPr fontId="5" type="noConversion"/>
  <pageMargins left="0" right="0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B1:P12"/>
  <sheetViews>
    <sheetView topLeftCell="B6" workbookViewId="0">
      <selection activeCell="G12" sqref="G12"/>
    </sheetView>
  </sheetViews>
  <sheetFormatPr defaultRowHeight="12" x14ac:dyDescent="0.25"/>
  <cols>
    <col min="1" max="1" width="0" hidden="1" customWidth="1"/>
    <col min="2" max="2" width="9.7109375" style="26" customWidth="1"/>
    <col min="3" max="3" width="6.42578125" customWidth="1"/>
    <col min="4" max="4" width="12.42578125" customWidth="1"/>
    <col min="5" max="5" width="15.5703125" customWidth="1"/>
    <col min="6" max="6" width="11.140625" customWidth="1"/>
    <col min="7" max="7" width="10.85546875" customWidth="1"/>
    <col min="8" max="8" width="12.42578125" customWidth="1"/>
    <col min="9" max="9" width="7" customWidth="1"/>
    <col min="10" max="10" width="9.7109375" customWidth="1"/>
    <col min="11" max="11" width="13.42578125" customWidth="1"/>
    <col min="12" max="12" width="7.42578125" customWidth="1"/>
    <col min="13" max="13" width="11.5703125" customWidth="1"/>
    <col min="14" max="14" width="13.42578125" customWidth="1"/>
    <col min="15" max="15" width="17.28515625" customWidth="1"/>
    <col min="16" max="16" width="13.42578125" customWidth="1"/>
  </cols>
  <sheetData>
    <row r="1" spans="2:16" hidden="1" x14ac:dyDescent="0.25"/>
    <row r="2" spans="2:16" hidden="1" x14ac:dyDescent="0.25"/>
    <row r="3" spans="2:16" ht="62.4" customHeight="1" x14ac:dyDescent="0.35">
      <c r="B3" s="27" t="s">
        <v>78</v>
      </c>
      <c r="C3" s="28" t="s">
        <v>79</v>
      </c>
      <c r="D3" s="29" t="s">
        <v>80</v>
      </c>
      <c r="E3" s="30" t="s">
        <v>3</v>
      </c>
      <c r="F3" s="31" t="s">
        <v>85</v>
      </c>
      <c r="G3" s="30" t="s">
        <v>86</v>
      </c>
      <c r="H3" s="30" t="s">
        <v>87</v>
      </c>
      <c r="I3" s="31" t="s">
        <v>88</v>
      </c>
      <c r="J3" s="30" t="s">
        <v>89</v>
      </c>
      <c r="K3" s="30" t="s">
        <v>90</v>
      </c>
      <c r="L3" s="32" t="s">
        <v>91</v>
      </c>
      <c r="M3" s="30" t="s">
        <v>92</v>
      </c>
      <c r="N3" s="30" t="s">
        <v>93</v>
      </c>
      <c r="O3" s="30" t="s">
        <v>11</v>
      </c>
      <c r="P3" s="6" t="s">
        <v>94</v>
      </c>
    </row>
    <row r="4" spans="2:16" ht="25.2" customHeight="1" x14ac:dyDescent="0.35">
      <c r="B4" s="33" t="s">
        <v>48</v>
      </c>
      <c r="C4" s="34">
        <v>40</v>
      </c>
      <c r="D4" s="35">
        <v>2528.9</v>
      </c>
      <c r="E4" s="35">
        <f>E13+SUM(Таблица5[[#This Row],[Отопление ГКАЛ]]*Таблица5[[#This Row],[Цена]])</f>
        <v>101156</v>
      </c>
      <c r="F4" s="35">
        <v>4000</v>
      </c>
      <c r="G4" s="35">
        <v>8</v>
      </c>
      <c r="H4" s="35">
        <f>SUM(Таблица5[[#This Row],[Освещение кВтч]]*Таблица5[[#This Row],[цена2]])</f>
        <v>32000</v>
      </c>
      <c r="I4" s="35">
        <v>25</v>
      </c>
      <c r="J4" s="35">
        <v>65.239999999999995</v>
      </c>
      <c r="K4" s="35">
        <f>SUM(Таблица5[[#This Row],[Водоснабжение мЗ]]*Таблица5[[#This Row],[цена3]])</f>
        <v>1630.9999999999998</v>
      </c>
      <c r="L4" s="35">
        <v>25</v>
      </c>
      <c r="M4" s="35">
        <v>49.63</v>
      </c>
      <c r="N4" s="35">
        <f>SUM(Таблица5[[#This Row],[Водоотведение м3]]*Таблица5[[#This Row],[Цена4]])</f>
        <v>1240.75</v>
      </c>
      <c r="O4" s="35">
        <f>SUM(Таблица5[[#This Row],[Сумма]],Таблица5[[#This Row],[Сумма2]],Таблица5[[#This Row],[Сумма3]],Таблица5[[#This Row],[Сумма4]])</f>
        <v>136027.75</v>
      </c>
      <c r="P4" s="35"/>
    </row>
    <row r="5" spans="2:16" ht="25.8" customHeight="1" x14ac:dyDescent="0.35">
      <c r="B5" s="33" t="s">
        <v>81</v>
      </c>
      <c r="C5" s="34">
        <v>565</v>
      </c>
      <c r="D5" s="35">
        <v>2528.9</v>
      </c>
      <c r="E5" s="35">
        <f>E14+SUM(Таблица5[[#This Row],[Отопление ГКАЛ]]*Таблица5[[#This Row],[Цена]])</f>
        <v>1428828.5</v>
      </c>
      <c r="F5" s="35">
        <v>9000</v>
      </c>
      <c r="G5" s="35">
        <v>8</v>
      </c>
      <c r="H5" s="35">
        <f>SUM(Таблица5[[#This Row],[Освещение кВтч]]*Таблица5[[#This Row],[цена2]])</f>
        <v>72000</v>
      </c>
      <c r="I5" s="35"/>
      <c r="J5" s="35"/>
      <c r="K5" s="35">
        <f>SUM(Таблица5[[#This Row],[Водоснабжение мЗ]]*Таблица5[[#This Row],[цена3]])</f>
        <v>0</v>
      </c>
      <c r="L5" s="35"/>
      <c r="M5" s="35"/>
      <c r="N5" s="35">
        <f>SUM(Таблица5[[#This Row],[Водоотведение м3]]*Таблица5[[#This Row],[Цена4]])</f>
        <v>0</v>
      </c>
      <c r="O5" s="35">
        <f>SUM(Таблица5[[#This Row],[Сумма]],Таблица5[[#This Row],[Сумма2]],Таблица5[[#This Row],[Сумма3]],Таблица5[[#This Row],[Сумма4]])</f>
        <v>1500828.5</v>
      </c>
      <c r="P5" s="35"/>
    </row>
    <row r="6" spans="2:16" ht="26.4" customHeight="1" x14ac:dyDescent="0.35">
      <c r="B6" s="33" t="s">
        <v>9</v>
      </c>
      <c r="C6" s="34">
        <v>80</v>
      </c>
      <c r="D6" s="35">
        <v>2528.9</v>
      </c>
      <c r="E6" s="35">
        <f>E15+SUM(Таблица5[[#This Row],[Отопление ГКАЛ]]*Таблица5[[#This Row],[Цена]])</f>
        <v>202312</v>
      </c>
      <c r="F6" s="35">
        <v>4000</v>
      </c>
      <c r="G6" s="35">
        <v>9.84</v>
      </c>
      <c r="H6" s="35">
        <f>SUM(Таблица5[[#This Row],[Освещение кВтч]]*Таблица5[[#This Row],[цена2]])</f>
        <v>39360</v>
      </c>
      <c r="I6" s="35"/>
      <c r="J6" s="35"/>
      <c r="K6" s="35">
        <f>SUM(Таблица5[[#This Row],[Водоснабжение мЗ]]*Таблица5[[#This Row],[цена3]])</f>
        <v>0</v>
      </c>
      <c r="L6" s="35"/>
      <c r="M6" s="35"/>
      <c r="N6" s="35">
        <f>SUM(Таблица5[[#This Row],[Водоотведение м3]]*Таблица5[[#This Row],[Цена4]])</f>
        <v>0</v>
      </c>
      <c r="O6" s="35">
        <f>SUM(Таблица5[[#This Row],[Сумма]],Таблица5[[#This Row],[Сумма2]],Таблица5[[#This Row],[Сумма3]],Таблица5[[#This Row],[Сумма4]])</f>
        <v>241672</v>
      </c>
      <c r="P6" s="35"/>
    </row>
    <row r="7" spans="2:16" ht="27" customHeight="1" x14ac:dyDescent="0.35">
      <c r="B7" s="33" t="s">
        <v>82</v>
      </c>
      <c r="C7" s="34"/>
      <c r="D7" s="35"/>
      <c r="E7" s="35">
        <f>E16+SUM(Таблица5[[#This Row],[Отопление ГКАЛ]]*Таблица5[[#This Row],[Цена]])</f>
        <v>0</v>
      </c>
      <c r="F7" s="35">
        <v>55000</v>
      </c>
      <c r="G7" s="35">
        <v>8.59</v>
      </c>
      <c r="H7" s="35">
        <f>SUM(Таблица5[[#This Row],[Освещение кВтч]]*Таблица5[[#This Row],[цена2]])</f>
        <v>472450</v>
      </c>
      <c r="I7" s="35"/>
      <c r="J7" s="35"/>
      <c r="K7" s="35">
        <f>SUM(Таблица5[[#This Row],[Водоснабжение мЗ]]*Таблица5[[#This Row],[цена3]])</f>
        <v>0</v>
      </c>
      <c r="L7" s="35"/>
      <c r="M7" s="35"/>
      <c r="N7" s="35">
        <f>SUM(Таблица5[[#This Row],[Водоотведение м3]]*Таблица5[[#This Row],[Цена4]])</f>
        <v>0</v>
      </c>
      <c r="O7" s="35">
        <f>SUM(Таблица5[[#This Row],[Сумма]],Таблица5[[#This Row],[Сумма2]],Таблица5[[#This Row],[Сумма3]],Таблица5[[#This Row],[Сумма4]])</f>
        <v>472450</v>
      </c>
      <c r="P7" s="35"/>
    </row>
    <row r="8" spans="2:16" ht="52.8" customHeight="1" x14ac:dyDescent="0.35">
      <c r="B8" s="36" t="s">
        <v>83</v>
      </c>
      <c r="C8" s="34">
        <f>SUM(C4:C6)</f>
        <v>685</v>
      </c>
      <c r="D8" s="35">
        <v>2528.9</v>
      </c>
      <c r="E8" s="35">
        <f>E17+SUM(Таблица5[[#This Row],[Отопление ГКАЛ]]*Таблица5[[#This Row],[Цена]])</f>
        <v>1732296.5</v>
      </c>
      <c r="F8" s="35">
        <f>SUM(F4:F7)</f>
        <v>72000</v>
      </c>
      <c r="G8" s="35"/>
      <c r="H8" s="35">
        <f>SUM(H4:H7)</f>
        <v>615810</v>
      </c>
      <c r="I8" s="35">
        <f>SUM(I4)</f>
        <v>25</v>
      </c>
      <c r="J8" s="35">
        <f>SUM(J4)</f>
        <v>65.239999999999995</v>
      </c>
      <c r="K8" s="35">
        <f>SUM(Таблица5[[#This Row],[Водоснабжение мЗ]]*Таблица5[[#This Row],[цена3]])</f>
        <v>1630.9999999999998</v>
      </c>
      <c r="L8" s="35">
        <f>A:A+SUM(L4:L7)</f>
        <v>25</v>
      </c>
      <c r="M8" s="35">
        <v>49.63</v>
      </c>
      <c r="N8" s="35">
        <f>SUM(Таблица5[[#This Row],[Водоотведение м3]]*Таблица5[[#This Row],[Цена4]])</f>
        <v>1240.75</v>
      </c>
      <c r="O8" s="35">
        <f>SUM(Таблица5[[#This Row],[Сумма]],Таблица5[[#This Row],[Сумма2]],Таблица5[[#This Row],[Сумма3]],Таблица5[[#This Row],[Сумма4]])</f>
        <v>2350978.25</v>
      </c>
      <c r="P8" s="35"/>
    </row>
    <row r="9" spans="2:16" ht="18" x14ac:dyDescent="0.35">
      <c r="B9" s="33"/>
      <c r="C9" s="34"/>
      <c r="D9" s="35"/>
      <c r="E9" s="35">
        <f>E18+SUM(Таблица5[[#This Row],[Отопление ГКАЛ]]*Таблица5[[#This Row],[Цена]])</f>
        <v>0</v>
      </c>
      <c r="F9" s="35"/>
      <c r="G9" s="35"/>
      <c r="H9" s="35">
        <f>SUM(Таблица5[[#This Row],[Освещение кВтч]]*Таблица5[[#This Row],[цена2]])</f>
        <v>0</v>
      </c>
      <c r="I9" s="35"/>
      <c r="J9" s="35"/>
      <c r="K9" s="35">
        <f>SUM(Таблица5[[#This Row],[Водоснабжение мЗ]]*Таблица5[[#This Row],[цена3]])</f>
        <v>0</v>
      </c>
      <c r="L9" s="35"/>
      <c r="M9" s="35"/>
      <c r="N9" s="35">
        <f>SUM(Таблица5[[#This Row],[Водоотведение м3]]*Таблица5[[#This Row],[Цена4]])</f>
        <v>0</v>
      </c>
      <c r="O9" s="35">
        <f>SUM(Таблица5[[#This Row],[Сумма]],Таблица5[[#This Row],[Сумма2]],Таблица5[[#This Row],[Сумма3]],Таблица5[[#This Row],[Сумма4]])</f>
        <v>0</v>
      </c>
      <c r="P9" s="35"/>
    </row>
    <row r="10" spans="2:16" ht="18" x14ac:dyDescent="0.35">
      <c r="B10" s="33" t="s">
        <v>10</v>
      </c>
      <c r="C10" s="34">
        <v>40</v>
      </c>
      <c r="D10" s="35">
        <v>2528.9</v>
      </c>
      <c r="E10" s="35">
        <f>E19+SUM(Таблица5[[#This Row],[Отопление ГКАЛ]]*Таблица5[[#This Row],[Цена]])</f>
        <v>101156</v>
      </c>
      <c r="F10" s="35">
        <v>4000</v>
      </c>
      <c r="G10" s="35">
        <v>8</v>
      </c>
      <c r="H10" s="35">
        <f>SUM(Таблица5[[#This Row],[Освещение кВтч]]*Таблица5[[#This Row],[цена2]])</f>
        <v>32000</v>
      </c>
      <c r="I10" s="35">
        <v>40</v>
      </c>
      <c r="J10" s="35">
        <v>65.239999999999995</v>
      </c>
      <c r="K10" s="35">
        <f>SUM(Таблица5[[#This Row],[Водоснабжение мЗ]]*Таблица5[[#This Row],[цена3]])</f>
        <v>2609.6</v>
      </c>
      <c r="L10" s="35">
        <v>40</v>
      </c>
      <c r="M10" s="35">
        <v>49.63</v>
      </c>
      <c r="N10" s="35">
        <f>SUM(Таблица5[[#This Row],[Водоотведение м3]]*Таблица5[[#This Row],[Цена4]])</f>
        <v>1985.2</v>
      </c>
      <c r="O10" s="35">
        <f>SUM(Таблица5[[#This Row],[Сумма]],Таблица5[[#This Row],[Сумма2]],Таблица5[[#This Row],[Сумма3]],Таблица5[[#This Row],[Сумма4]])</f>
        <v>137750.80000000002</v>
      </c>
      <c r="P10" s="35"/>
    </row>
    <row r="11" spans="2:16" ht="18" x14ac:dyDescent="0.35">
      <c r="B11" s="33"/>
      <c r="C11" s="34"/>
      <c r="D11" s="35"/>
      <c r="E11" s="35">
        <f>E20+SUM(Таблица5[[#This Row],[Отопление ГКАЛ]]*Таблица5[[#This Row],[Цена]])</f>
        <v>0</v>
      </c>
      <c r="F11" s="35"/>
      <c r="G11" s="35"/>
      <c r="H11" s="35">
        <f>SUM(Таблица5[[#This Row],[Освещение кВтч]]*Таблица5[[#This Row],[цена2]])</f>
        <v>0</v>
      </c>
      <c r="I11" s="35"/>
      <c r="J11" s="35"/>
      <c r="K11" s="35">
        <f>SUM(Таблица5[[#This Row],[Водоснабжение мЗ]]*Таблица5[[#This Row],[цена3]])</f>
        <v>0</v>
      </c>
      <c r="L11" s="35"/>
      <c r="M11" s="35"/>
      <c r="N11" s="35">
        <f>SUM(Таблица5[[#This Row],[Водоотведение м3]]*Таблица5[[#This Row],[Цена4]])</f>
        <v>0</v>
      </c>
      <c r="O11" s="35">
        <f>SUM(Таблица5[[#This Row],[Сумма]],Таблица5[[#This Row],[Сумма2]],Таблица5[[#This Row],[Сумма3]],Таблица5[[#This Row],[Сумма4]])</f>
        <v>0</v>
      </c>
      <c r="P11" s="35"/>
    </row>
    <row r="12" spans="2:16" ht="18" x14ac:dyDescent="0.35">
      <c r="B12" s="33" t="s">
        <v>84</v>
      </c>
      <c r="C12" s="34">
        <f>SUM(C8:C10)</f>
        <v>725</v>
      </c>
      <c r="D12" s="35">
        <v>2528.9</v>
      </c>
      <c r="E12" s="35">
        <f>E21+SUM(Таблица5[[#This Row],[Отопление ГКАЛ]]*Таблица5[[#This Row],[Цена]])</f>
        <v>1833452.5</v>
      </c>
      <c r="F12" s="35">
        <f>SUM(F8:F10)</f>
        <v>76000</v>
      </c>
      <c r="G12" s="35"/>
      <c r="H12" s="35">
        <f>SUM(H8:H10)</f>
        <v>647810</v>
      </c>
      <c r="I12" s="35">
        <f>SUM(I8:I10)</f>
        <v>65</v>
      </c>
      <c r="J12" s="35">
        <v>65.239999999999995</v>
      </c>
      <c r="K12" s="35">
        <f>SUM(Таблица5[[#This Row],[Водоснабжение мЗ]]*Таблица5[[#This Row],[цена3]])</f>
        <v>4240.5999999999995</v>
      </c>
      <c r="L12" s="35">
        <f>SUM(L8:L10)</f>
        <v>65</v>
      </c>
      <c r="M12" s="35">
        <v>49.63</v>
      </c>
      <c r="N12" s="35">
        <f>SUM(Таблица5[[#This Row],[Водоотведение м3]]*Таблица5[[#This Row],[Цена4]])</f>
        <v>3225.9500000000003</v>
      </c>
      <c r="O12" s="35">
        <f>SUM(Таблица5[[#This Row],[Сумма]],Таблица5[[#This Row],[Сумма2]],Таблица5[[#This Row],[Сумма3]],Таблица5[[#This Row],[Сумма4]])</f>
        <v>2488729.0500000003</v>
      </c>
      <c r="P12" s="35"/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ФОТ</vt:lpstr>
      <vt:lpstr>Лист2</vt:lpstr>
      <vt:lpstr>Ком.услуги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 Windows</cp:lastModifiedBy>
  <cp:lastPrinted>2023-11-17T05:49:16Z</cp:lastPrinted>
  <dcterms:created xsi:type="dcterms:W3CDTF">2021-11-12T04:46:17Z</dcterms:created>
  <dcterms:modified xsi:type="dcterms:W3CDTF">2023-11-20T08:23:40Z</dcterms:modified>
</cp:coreProperties>
</file>